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GC Hidrive\IONOS HiDrive\BGC-Vorstand\2022\Mitgliederversammlung\AOMV\Finanzinformation\"/>
    </mc:Choice>
  </mc:AlternateContent>
  <xr:revisionPtr revIDLastSave="0" documentId="13_ncr:1_{44E4A4C8-2A81-4E01-92B8-53D17C20523A}" xr6:coauthVersionLast="47" xr6:coauthVersionMax="47" xr10:uidLastSave="{00000000-0000-0000-0000-000000000000}"/>
  <bookViews>
    <workbookView xWindow="-120" yWindow="-120" windowWidth="29040" windowHeight="15720" xr2:uid="{0E2A9DCE-C74D-4925-A10F-A7FC395D08F5}"/>
  </bookViews>
  <sheets>
    <sheet name="Tabelle1" sheetId="1" r:id="rId1"/>
  </sheets>
  <definedNames>
    <definedName name="_xlnm.Print_Area" localSheetId="0">Tabelle1!$A$1:$O$34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" l="1"/>
  <c r="F4" i="1"/>
  <c r="G4" i="1" s="1"/>
  <c r="H4" i="1" s="1"/>
  <c r="I4" i="1" s="1"/>
  <c r="J4" i="1" s="1"/>
  <c r="K4" i="1" s="1"/>
  <c r="L4" i="1" s="1"/>
  <c r="M4" i="1" s="1"/>
  <c r="C32" i="1" l="1"/>
  <c r="D32" i="1"/>
  <c r="E32" i="1"/>
  <c r="F32" i="1"/>
  <c r="G32" i="1"/>
  <c r="H32" i="1"/>
  <c r="I32" i="1"/>
  <c r="J32" i="1"/>
  <c r="K32" i="1"/>
  <c r="L32" i="1"/>
  <c r="M32" i="1"/>
  <c r="B32" i="1"/>
  <c r="C31" i="1"/>
  <c r="D31" i="1"/>
  <c r="E31" i="1"/>
  <c r="F31" i="1"/>
  <c r="G31" i="1"/>
  <c r="H31" i="1"/>
  <c r="I31" i="1"/>
  <c r="J31" i="1"/>
  <c r="K31" i="1"/>
  <c r="L31" i="1"/>
  <c r="M31" i="1"/>
  <c r="B31" i="1"/>
  <c r="D14" i="1"/>
  <c r="C20" i="1"/>
  <c r="D20" i="1"/>
  <c r="E20" i="1"/>
  <c r="F20" i="1"/>
  <c r="G20" i="1"/>
  <c r="H20" i="1"/>
  <c r="I20" i="1"/>
  <c r="J20" i="1"/>
  <c r="K20" i="1"/>
  <c r="L20" i="1"/>
  <c r="M20" i="1"/>
  <c r="B20" i="1"/>
  <c r="C16" i="1" l="1"/>
  <c r="D16" i="1"/>
  <c r="B16" i="1"/>
  <c r="E16" i="1"/>
  <c r="F16" i="1"/>
  <c r="G16" i="1"/>
  <c r="H16" i="1"/>
  <c r="I16" i="1"/>
  <c r="J16" i="1"/>
  <c r="K16" i="1"/>
  <c r="L16" i="1"/>
  <c r="M16" i="1"/>
  <c r="N33" i="1"/>
  <c r="C12" i="1"/>
  <c r="D12" i="1"/>
  <c r="E12" i="1"/>
  <c r="F12" i="1"/>
  <c r="G12" i="1"/>
  <c r="H12" i="1"/>
  <c r="I12" i="1"/>
  <c r="J12" i="1"/>
  <c r="K12" i="1"/>
  <c r="L12" i="1"/>
  <c r="M12" i="1"/>
  <c r="B12" i="1"/>
  <c r="N15" i="1"/>
  <c r="N14" i="1"/>
  <c r="N13" i="1"/>
  <c r="N11" i="1"/>
  <c r="N12" i="1" l="1"/>
  <c r="N16" i="1"/>
  <c r="B43" i="1"/>
  <c r="E42" i="1"/>
  <c r="F42" i="1"/>
  <c r="G42" i="1"/>
  <c r="H42" i="1"/>
  <c r="I42" i="1"/>
  <c r="J42" i="1"/>
  <c r="K42" i="1"/>
  <c r="L42" i="1"/>
  <c r="M42" i="1"/>
  <c r="C42" i="1"/>
  <c r="D42" i="1"/>
  <c r="B42" i="1"/>
  <c r="N43" i="1"/>
  <c r="F41" i="1"/>
  <c r="F44" i="1" s="1"/>
  <c r="F21" i="1" s="1"/>
  <c r="G41" i="1"/>
  <c r="G44" i="1" s="1"/>
  <c r="H41" i="1"/>
  <c r="H44" i="1" s="1"/>
  <c r="H21" i="1" s="1"/>
  <c r="I41" i="1"/>
  <c r="I44" i="1" s="1"/>
  <c r="I21" i="1" s="1"/>
  <c r="J41" i="1"/>
  <c r="J44" i="1" s="1"/>
  <c r="J21" i="1" s="1"/>
  <c r="K41" i="1"/>
  <c r="K44" i="1" s="1"/>
  <c r="K21" i="1" s="1"/>
  <c r="L41" i="1"/>
  <c r="L44" i="1" s="1"/>
  <c r="L21" i="1" s="1"/>
  <c r="M41" i="1"/>
  <c r="M44" i="1" s="1"/>
  <c r="M21" i="1" s="1"/>
  <c r="E41" i="1"/>
  <c r="C41" i="1"/>
  <c r="C44" i="1" s="1"/>
  <c r="C21" i="1" s="1"/>
  <c r="D41" i="1"/>
  <c r="D44" i="1" s="1"/>
  <c r="D21" i="1" s="1"/>
  <c r="B41" i="1"/>
  <c r="M54" i="1"/>
  <c r="K54" i="1"/>
  <c r="B50" i="1"/>
  <c r="N58" i="1"/>
  <c r="M57" i="1"/>
  <c r="C57" i="1"/>
  <c r="D57" i="1"/>
  <c r="E57" i="1"/>
  <c r="F57" i="1"/>
  <c r="G57" i="1"/>
  <c r="H57" i="1"/>
  <c r="I57" i="1"/>
  <c r="J57" i="1"/>
  <c r="K57" i="1"/>
  <c r="L57" i="1"/>
  <c r="B57" i="1"/>
  <c r="C56" i="1"/>
  <c r="D56" i="1"/>
  <c r="E56" i="1"/>
  <c r="F56" i="1"/>
  <c r="G56" i="1"/>
  <c r="H56" i="1"/>
  <c r="I56" i="1"/>
  <c r="J56" i="1"/>
  <c r="K56" i="1"/>
  <c r="L56" i="1"/>
  <c r="M56" i="1"/>
  <c r="B56" i="1"/>
  <c r="N49" i="1"/>
  <c r="H54" i="1"/>
  <c r="N51" i="1"/>
  <c r="N52" i="1"/>
  <c r="E55" i="1"/>
  <c r="N55" i="1" s="1"/>
  <c r="D54" i="1"/>
  <c r="C54" i="1"/>
  <c r="C53" i="1"/>
  <c r="D53" i="1"/>
  <c r="E53" i="1"/>
  <c r="F53" i="1"/>
  <c r="G53" i="1"/>
  <c r="H53" i="1"/>
  <c r="I53" i="1"/>
  <c r="J53" i="1"/>
  <c r="K53" i="1"/>
  <c r="L53" i="1"/>
  <c r="M53" i="1"/>
  <c r="B53" i="1"/>
  <c r="J50" i="1"/>
  <c r="D50" i="1"/>
  <c r="E50" i="1"/>
  <c r="F50" i="1"/>
  <c r="G50" i="1"/>
  <c r="H50" i="1"/>
  <c r="H59" i="1" s="1"/>
  <c r="H26" i="1" s="1"/>
  <c r="I50" i="1"/>
  <c r="I59" i="1" s="1"/>
  <c r="I26" i="1" s="1"/>
  <c r="K50" i="1"/>
  <c r="L50" i="1"/>
  <c r="M50" i="1"/>
  <c r="C50" i="1"/>
  <c r="E59" i="1" l="1"/>
  <c r="E26" i="1" s="1"/>
  <c r="F59" i="1"/>
  <c r="F26" i="1" s="1"/>
  <c r="D59" i="1"/>
  <c r="D26" i="1" s="1"/>
  <c r="N54" i="1"/>
  <c r="B44" i="1"/>
  <c r="B21" i="1" s="1"/>
  <c r="E44" i="1"/>
  <c r="E21" i="1" s="1"/>
  <c r="L59" i="1"/>
  <c r="L26" i="1" s="1"/>
  <c r="G59" i="1"/>
  <c r="G26" i="1" s="1"/>
  <c r="N44" i="1"/>
  <c r="G21" i="1"/>
  <c r="C59" i="1"/>
  <c r="C26" i="1" s="1"/>
  <c r="J59" i="1"/>
  <c r="J26" i="1" s="1"/>
  <c r="B59" i="1"/>
  <c r="B26" i="1" s="1"/>
  <c r="M59" i="1"/>
  <c r="M26" i="1" s="1"/>
  <c r="N42" i="1"/>
  <c r="N41" i="1"/>
  <c r="K59" i="1"/>
  <c r="K26" i="1" s="1"/>
  <c r="N53" i="1"/>
  <c r="N50" i="1"/>
  <c r="N56" i="1"/>
  <c r="N57" i="1"/>
  <c r="N59" i="1" l="1"/>
  <c r="N23" i="1"/>
  <c r="N24" i="1"/>
  <c r="N25" i="1"/>
  <c r="N26" i="1"/>
  <c r="N27" i="1"/>
  <c r="N28" i="1"/>
  <c r="N30" i="1"/>
  <c r="N31" i="1"/>
  <c r="N32" i="1"/>
  <c r="N22" i="1"/>
  <c r="C10" i="1"/>
  <c r="D29" i="1"/>
  <c r="N29" i="1" s="1"/>
  <c r="N21" i="1"/>
  <c r="N20" i="1"/>
  <c r="F17" i="1"/>
  <c r="G17" i="1"/>
  <c r="H17" i="1"/>
  <c r="I17" i="1"/>
  <c r="J17" i="1"/>
  <c r="K17" i="1"/>
  <c r="L17" i="1"/>
  <c r="M17" i="1"/>
  <c r="E17" i="1"/>
  <c r="K10" i="1"/>
  <c r="M10" i="1"/>
  <c r="L10" i="1"/>
  <c r="J10" i="1"/>
  <c r="I10" i="1"/>
  <c r="H10" i="1"/>
  <c r="E10" i="1"/>
  <c r="G10" i="1"/>
  <c r="F10" i="1"/>
  <c r="D10" i="1"/>
  <c r="B10" i="1"/>
  <c r="N17" i="1" l="1"/>
  <c r="B34" i="1"/>
  <c r="C8" i="1" s="1"/>
  <c r="C34" i="1" s="1"/>
  <c r="D8" i="1" s="1"/>
  <c r="D34" i="1" s="1"/>
  <c r="E8" i="1" s="1"/>
  <c r="E34" i="1" s="1"/>
  <c r="F8" i="1" s="1"/>
  <c r="F34" i="1" s="1"/>
  <c r="G8" i="1" s="1"/>
  <c r="G34" i="1" s="1"/>
  <c r="H8" i="1" s="1"/>
  <c r="H34" i="1" s="1"/>
  <c r="I8" i="1" s="1"/>
  <c r="I34" i="1" s="1"/>
  <c r="J8" i="1" s="1"/>
  <c r="J34" i="1" s="1"/>
  <c r="K8" i="1" s="1"/>
  <c r="K34" i="1" s="1"/>
  <c r="L8" i="1" s="1"/>
  <c r="L34" i="1" s="1"/>
  <c r="M8" i="1" s="1"/>
  <c r="M34" i="1" s="1"/>
  <c r="N10" i="1"/>
  <c r="N9" i="1" l="1"/>
</calcChain>
</file>

<file path=xl/sharedStrings.xml><?xml version="1.0" encoding="utf-8"?>
<sst xmlns="http://schemas.openxmlformats.org/spreadsheetml/2006/main" count="59" uniqueCount="59">
  <si>
    <t xml:space="preserve"> 1 - Mitglieder-Beiträge gesamt</t>
  </si>
  <si>
    <t xml:space="preserve"> 2 - Aufnahmegebühren</t>
  </si>
  <si>
    <t xml:space="preserve"> 3 - Spenden/Sonstiges/Zuschüsse</t>
  </si>
  <si>
    <t xml:space="preserve"> 4 - Zinsen</t>
  </si>
  <si>
    <t xml:space="preserve"> 5 - Sportveranstaltungen Turniere</t>
  </si>
  <si>
    <t xml:space="preserve"> 6 - Veranstaltungen</t>
  </si>
  <si>
    <t xml:space="preserve"> 7 - Sonst. Wirtschaftliche Einnahmen</t>
  </si>
  <si>
    <t>2 Ausgaben</t>
  </si>
  <si>
    <t>11 - Trainer</t>
  </si>
  <si>
    <t>12 - Mieten/Nebenkosten</t>
  </si>
  <si>
    <t>13 - Strom</t>
  </si>
  <si>
    <t>14 - Reinigung</t>
  </si>
  <si>
    <t>15 - Verbandsbeiträge</t>
  </si>
  <si>
    <t>16 - Präsente/Vereinsfeiern</t>
  </si>
  <si>
    <t>17 - Allg. Verwaltung</t>
  </si>
  <si>
    <t>18 - Werbung/Dekoration</t>
  </si>
  <si>
    <t>19 - Abschreibungen</t>
  </si>
  <si>
    <t>20 - Sportveranstaltungen/Turniere</t>
  </si>
  <si>
    <t>21 - Veranstaltungen</t>
  </si>
  <si>
    <t>22 - Sonstige wirtschaftliche Ausgaben</t>
  </si>
  <si>
    <t>23 - Reparaturen Vereinsheim</t>
  </si>
  <si>
    <t>Liquides Vermögen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</si>
  <si>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</si>
  <si>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</si>
  <si>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</si>
  <si>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</si>
  <si>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</si>
  <si>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</si>
  <si>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</si>
  <si>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</si>
  <si>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</si>
  <si>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</si>
  <si>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</si>
  <si>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</si>
  <si>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Endsaldo</t>
  </si>
  <si>
    <t>Beitragserhöhung</t>
  </si>
  <si>
    <t xml:space="preserve"> 8 - Beitragsrisiko</t>
  </si>
  <si>
    <t>Mitgliederschwund (VZ)</t>
  </si>
  <si>
    <t xml:space="preserve">   24 - Sicherheitsmarge</t>
  </si>
  <si>
    <t>120501 - Bürobedarf</t>
  </si>
  <si>
    <t>120502 - Porto, Telefon</t>
  </si>
  <si>
    <t>120503 - Software</t>
  </si>
  <si>
    <t>120504 - Satzungsänderungen</t>
  </si>
  <si>
    <t>2210 - Bankgebühren</t>
  </si>
  <si>
    <t>3126 - Versicherungen</t>
  </si>
  <si>
    <t>3117 - Büro/Verwaltungskosten</t>
  </si>
  <si>
    <t>3139 - Verbrauchsgüter Sportbetrieb</t>
  </si>
  <si>
    <t>3142 - GEZ</t>
  </si>
  <si>
    <t>3144 - Steuerberatungskosten</t>
  </si>
  <si>
    <t>Gesamt Verwaltung</t>
  </si>
  <si>
    <t>Aufschlüsselung 17 Verwaltungskosten</t>
  </si>
  <si>
    <t>Aufschlüsselung 12 - Mieten/Nebenkosten</t>
  </si>
  <si>
    <t>3118 - Miete Karlsfeld</t>
  </si>
  <si>
    <t>3121 - Nebenkosten/Heizung</t>
  </si>
  <si>
    <t>3137 - Miete St. Lanpert</t>
  </si>
  <si>
    <t>Gesamt Miete Nebenkosten</t>
  </si>
  <si>
    <t>Summen</t>
  </si>
  <si>
    <t>Liquiditätsplanung 2023</t>
  </si>
  <si>
    <t>1 Einnahmen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</si>
</sst>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 indent="1"/>
    </xf>
    <xf numFmtId="0" fontId="1" fillId="0" borderId="1" xfId="0" applyFont="1" applyBorder="1" applyAlignment="1">
      <alignment horizontal="left"/>
    </xf>
    <xf numFmtId="164" fontId="0" fillId="0" borderId="0" xfId="0" applyNumberFormat="1"/>
    <xf numFmtId="9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0" fillId="0" borderId="0" xfId="0" applyAlignment="1"/>
    <xf numFmtId="0" fontId="2" fillId="0" borderId="0" xfId="0" applyFont="1"/>
    <xf numFmtId="0" fontId="3" fillId="0" borderId="0" xfId="0" applyFont="1"/>
    <xf numFmtId="164" fontId="0" fillId="0" borderId="2" xfId="0" applyNumberFormat="1" applyBorder="1"/>
    <xf numFmtId="164" fontId="1" fillId="0" borderId="2" xfId="0" applyNumberFormat="1" applyFont="1" applyBorder="1"/>
    <xf numFmtId="0" fontId="0" fillId="0" borderId="0" xfId="0" applyAlignment="1">
      <alignment horizontal="right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center"/>
    </xf>
    <xf numFmtId="0" fontId="1" fillId="0" borderId="2" xfId="0" applyFont="1" applyBorder="1"/>
  </cellXfs>
  <cellStyles count="1">
    <cellStyle name="Stand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C09BC-A001-4130-A185-DE81F31A536E}">
  <sheetPr>
    <pageSetUpPr fitToPage="1"/>
  </sheetPr>
  <dimension ref="A1:O60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4" sqref="B4"/>
    </sheetView>
  </sheetViews>
  <sheetFormatPr baseColWidth="10" defaultRowHeight="15" outlineLevelRow="1" x14ac:dyDescent="0.25"/>
  <cols>
    <col min="1" max="1" width="36" customWidth="1"/>
  </cols>
  <sheetData>
    <row r="1" spans="1:15" ht="18.75" x14ac:dyDescent="0.3">
      <c r="A1" s="9" t="s">
        <v>57</v>
      </c>
    </row>
    <row r="2" spans="1:15" ht="18.75" x14ac:dyDescent="0.3">
      <c r="A2" s="8"/>
    </row>
    <row r="3" spans="1:15" x14ac:dyDescent="0.25">
      <c r="A3" t="s">
        <v>35</v>
      </c>
      <c r="B3" s="4">
        <v>0.5</v>
      </c>
    </row>
    <row r="4" spans="1:15" x14ac:dyDescent="0.25">
      <c r="A4" t="s">
        <v>37</v>
      </c>
      <c r="E4" s="12">
        <v>15</v>
      </c>
      <c r="F4" s="12">
        <f>E4</f>
        <v>15</v>
      </c>
      <c r="G4" s="12">
        <f t="shared" ref="G4:M4" si="0">F4</f>
        <v>15</v>
      </c>
      <c r="H4" s="12">
        <f t="shared" si="0"/>
        <v>15</v>
      </c>
      <c r="I4" s="12">
        <f t="shared" si="0"/>
        <v>15</v>
      </c>
      <c r="J4" s="12">
        <f t="shared" si="0"/>
        <v>15</v>
      </c>
      <c r="K4" s="12">
        <f t="shared" si="0"/>
        <v>15</v>
      </c>
      <c r="L4" s="12">
        <f t="shared" si="0"/>
        <v>15</v>
      </c>
      <c r="M4" s="12">
        <f t="shared" si="0"/>
        <v>15</v>
      </c>
    </row>
    <row r="7" spans="1:15" x14ac:dyDescent="0.25">
      <c r="B7" s="14" t="s">
        <v>22</v>
      </c>
      <c r="C7" s="14" t="s">
        <v>23</v>
      </c>
      <c r="D7" s="14" t="s">
        <v>24</v>
      </c>
      <c r="E7" s="14" t="s">
        <v>25</v>
      </c>
      <c r="F7" s="14" t="s">
        <v>26</v>
      </c>
      <c r="G7" s="14" t="s">
        <v>27</v>
      </c>
      <c r="H7" s="14" t="s">
        <v>28</v>
      </c>
      <c r="I7" s="14" t="s">
        <v>29</v>
      </c>
      <c r="J7" s="14" t="s">
        <v>30</v>
      </c>
      <c r="K7" s="14" t="s">
        <v>31</v>
      </c>
      <c r="L7" s="14" t="s">
        <v>32</v>
      </c>
      <c r="M7" s="14" t="s">
        <v>33</v>
      </c>
      <c r="N7" s="15" t="s">
        <v>56</v>
      </c>
    </row>
    <row r="8" spans="1:15" x14ac:dyDescent="0.25">
      <c r="A8" s="5" t="s">
        <v>21</v>
      </c>
      <c r="B8" s="6">
        <v>10450</v>
      </c>
      <c r="C8" s="6">
        <f>B34</f>
        <v>16403.583333333336</v>
      </c>
      <c r="D8" s="6">
        <f t="shared" ref="D8:M8" si="1">C34</f>
        <v>12005.156666666668</v>
      </c>
      <c r="E8" s="6">
        <f t="shared" si="1"/>
        <v>7647.7300000000014</v>
      </c>
      <c r="F8" s="6">
        <f t="shared" si="1"/>
        <v>12956.813333333337</v>
      </c>
      <c r="G8" s="6">
        <f t="shared" si="1"/>
        <v>8611.386666666669</v>
      </c>
      <c r="H8" s="6">
        <f t="shared" si="1"/>
        <v>4265.9600000000028</v>
      </c>
      <c r="I8" s="6">
        <f t="shared" si="1"/>
        <v>13618.043333333335</v>
      </c>
      <c r="J8" s="6">
        <f t="shared" si="1"/>
        <v>9272.6166666666668</v>
      </c>
      <c r="K8" s="6">
        <f t="shared" si="1"/>
        <v>4817.1500000000005</v>
      </c>
      <c r="L8" s="6">
        <f t="shared" si="1"/>
        <v>13419.233333333335</v>
      </c>
      <c r="M8" s="6">
        <f t="shared" si="1"/>
        <v>9073.8066666666673</v>
      </c>
      <c r="N8" s="10"/>
    </row>
    <row r="9" spans="1:15" x14ac:dyDescent="0.25">
      <c r="A9" s="5" t="s">
        <v>58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11">
        <f>SUM(N10:N17)</f>
        <v>55651</v>
      </c>
    </row>
    <row r="10" spans="1:15" x14ac:dyDescent="0.25">
      <c r="A10" s="1" t="s">
        <v>0</v>
      </c>
      <c r="B10" s="3">
        <f>96+((8325+215+390+15+450)*(1+B3))</f>
        <v>14188.5</v>
      </c>
      <c r="C10" s="3">
        <f>(215+15)*(1+$B$3)</f>
        <v>345</v>
      </c>
      <c r="D10" s="3">
        <f>(215+15)*(1+$B$3)</f>
        <v>345</v>
      </c>
      <c r="E10" s="3">
        <f>((8325+215+390+15+450)*(1+$B$3))</f>
        <v>14092.5</v>
      </c>
      <c r="F10" s="3">
        <f t="shared" ref="F10:G10" si="2">(215+15)*(1+$B$3)</f>
        <v>345</v>
      </c>
      <c r="G10" s="3">
        <f t="shared" si="2"/>
        <v>345</v>
      </c>
      <c r="H10" s="3">
        <f>((8325+215+390+15+450)*(1+$B$3))</f>
        <v>14092.5</v>
      </c>
      <c r="I10" s="3">
        <f>(215+15)*(1+$B$3)</f>
        <v>345</v>
      </c>
      <c r="J10" s="3">
        <f>(215+15)*(1+$B$3)</f>
        <v>345</v>
      </c>
      <c r="K10" s="3">
        <f>((8325+215+390+15+450)*(1+$B$3))</f>
        <v>14092.5</v>
      </c>
      <c r="L10" s="3">
        <f>(215+15)*(1+$B$3)</f>
        <v>345</v>
      </c>
      <c r="M10" s="3">
        <f>(215+15)*(1+$B$3)</f>
        <v>345</v>
      </c>
      <c r="N10" s="10">
        <f t="shared" ref="N10:N17" si="3">SUM(B10:M10)</f>
        <v>59226</v>
      </c>
    </row>
    <row r="11" spans="1:15" x14ac:dyDescent="0.25">
      <c r="A11" s="1" t="s">
        <v>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0">
        <f t="shared" si="3"/>
        <v>0</v>
      </c>
    </row>
    <row r="12" spans="1:15" x14ac:dyDescent="0.25">
      <c r="A12" s="1" t="s">
        <v>2</v>
      </c>
      <c r="B12" s="3">
        <f>500/12</f>
        <v>41.666666666666664</v>
      </c>
      <c r="C12" s="3">
        <f t="shared" ref="C12:M12" si="4">500/12</f>
        <v>41.666666666666664</v>
      </c>
      <c r="D12" s="3">
        <f t="shared" si="4"/>
        <v>41.666666666666664</v>
      </c>
      <c r="E12" s="3">
        <f t="shared" si="4"/>
        <v>41.666666666666664</v>
      </c>
      <c r="F12" s="3">
        <f t="shared" si="4"/>
        <v>41.666666666666664</v>
      </c>
      <c r="G12" s="3">
        <f t="shared" si="4"/>
        <v>41.666666666666664</v>
      </c>
      <c r="H12" s="3">
        <f t="shared" si="4"/>
        <v>41.666666666666664</v>
      </c>
      <c r="I12" s="3">
        <f t="shared" si="4"/>
        <v>41.666666666666664</v>
      </c>
      <c r="J12" s="3">
        <f t="shared" si="4"/>
        <v>41.666666666666664</v>
      </c>
      <c r="K12" s="3">
        <f t="shared" si="4"/>
        <v>41.666666666666664</v>
      </c>
      <c r="L12" s="3">
        <f t="shared" si="4"/>
        <v>41.666666666666664</v>
      </c>
      <c r="M12" s="3">
        <f t="shared" si="4"/>
        <v>41.666666666666664</v>
      </c>
      <c r="N12" s="10">
        <f t="shared" si="3"/>
        <v>500.00000000000006</v>
      </c>
    </row>
    <row r="13" spans="1:15" x14ac:dyDescent="0.25">
      <c r="A13" s="1" t="s">
        <v>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0">
        <f t="shared" si="3"/>
        <v>0</v>
      </c>
    </row>
    <row r="14" spans="1:15" x14ac:dyDescent="0.25">
      <c r="A14" s="1" t="s">
        <v>4</v>
      </c>
      <c r="B14" s="3"/>
      <c r="C14" s="3"/>
      <c r="D14" s="3">
        <f>350+450+500</f>
        <v>1300</v>
      </c>
      <c r="E14" s="3"/>
      <c r="F14" s="3"/>
      <c r="G14" s="3"/>
      <c r="H14" s="3"/>
      <c r="I14" s="3"/>
      <c r="J14" s="3"/>
      <c r="K14" s="3"/>
      <c r="L14" s="3"/>
      <c r="M14" s="3"/>
      <c r="N14" s="10">
        <f t="shared" si="3"/>
        <v>1300</v>
      </c>
    </row>
    <row r="15" spans="1:15" x14ac:dyDescent="0.25">
      <c r="A15" s="1" t="s">
        <v>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0">
        <f t="shared" si="3"/>
        <v>0</v>
      </c>
    </row>
    <row r="16" spans="1:15" x14ac:dyDescent="0.25">
      <c r="A16" s="1" t="s">
        <v>6</v>
      </c>
      <c r="B16" s="3">
        <f>((100+300)/12)+100</f>
        <v>133.33333333333334</v>
      </c>
      <c r="C16" s="3">
        <f t="shared" ref="C16:D16" si="5">((100+300)/12)+100</f>
        <v>133.33333333333334</v>
      </c>
      <c r="D16" s="3">
        <f t="shared" si="5"/>
        <v>133.33333333333334</v>
      </c>
      <c r="E16" s="3">
        <f t="shared" ref="E16:M16" si="6">(100+300)/12</f>
        <v>33.333333333333336</v>
      </c>
      <c r="F16" s="3">
        <f t="shared" si="6"/>
        <v>33.333333333333336</v>
      </c>
      <c r="G16" s="3">
        <f t="shared" si="6"/>
        <v>33.333333333333336</v>
      </c>
      <c r="H16" s="3">
        <f t="shared" si="6"/>
        <v>33.333333333333336</v>
      </c>
      <c r="I16" s="3">
        <f t="shared" si="6"/>
        <v>33.333333333333336</v>
      </c>
      <c r="J16" s="3">
        <f t="shared" si="6"/>
        <v>33.333333333333336</v>
      </c>
      <c r="K16" s="3">
        <f t="shared" si="6"/>
        <v>33.333333333333336</v>
      </c>
      <c r="L16" s="3">
        <f t="shared" si="6"/>
        <v>33.333333333333336</v>
      </c>
      <c r="M16" s="3">
        <f t="shared" si="6"/>
        <v>33.333333333333336</v>
      </c>
      <c r="N16" s="10">
        <f t="shared" si="3"/>
        <v>700.00000000000011</v>
      </c>
      <c r="O16" s="6"/>
    </row>
    <row r="17" spans="1:15" x14ac:dyDescent="0.25">
      <c r="A17" s="1" t="s">
        <v>36</v>
      </c>
      <c r="B17" s="3"/>
      <c r="C17" s="3"/>
      <c r="D17" s="3"/>
      <c r="E17" s="3">
        <f t="shared" ref="E17:M17" si="7">-(E4*30)*(1+$B$3)</f>
        <v>-675</v>
      </c>
      <c r="F17" s="3">
        <f t="shared" si="7"/>
        <v>-675</v>
      </c>
      <c r="G17" s="3">
        <f t="shared" si="7"/>
        <v>-675</v>
      </c>
      <c r="H17" s="3">
        <f t="shared" si="7"/>
        <v>-675</v>
      </c>
      <c r="I17" s="3">
        <f t="shared" si="7"/>
        <v>-675</v>
      </c>
      <c r="J17" s="3">
        <f t="shared" si="7"/>
        <v>-675</v>
      </c>
      <c r="K17" s="3">
        <f t="shared" si="7"/>
        <v>-675</v>
      </c>
      <c r="L17" s="3">
        <f t="shared" si="7"/>
        <v>-675</v>
      </c>
      <c r="M17" s="3">
        <f t="shared" si="7"/>
        <v>-675</v>
      </c>
      <c r="N17" s="10">
        <f t="shared" si="3"/>
        <v>-6075</v>
      </c>
      <c r="O17" s="6"/>
    </row>
    <row r="18" spans="1:15" x14ac:dyDescent="0.25">
      <c r="A18" s="1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0"/>
      <c r="O18" s="6"/>
    </row>
    <row r="19" spans="1:15" x14ac:dyDescent="0.25">
      <c r="A19" s="2" t="s">
        <v>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1">
        <f>SUM(N20:N32)</f>
        <v>-59414.30000000001</v>
      </c>
    </row>
    <row r="20" spans="1:15" x14ac:dyDescent="0.25">
      <c r="A20" s="1" t="s">
        <v>8</v>
      </c>
      <c r="B20" s="3">
        <f>-18145/12</f>
        <v>-1512.0833333333333</v>
      </c>
      <c r="C20" s="3">
        <f t="shared" ref="C20:M20" si="8">-18145/12</f>
        <v>-1512.0833333333333</v>
      </c>
      <c r="D20" s="3">
        <f t="shared" si="8"/>
        <v>-1512.0833333333333</v>
      </c>
      <c r="E20" s="3">
        <f t="shared" si="8"/>
        <v>-1512.0833333333333</v>
      </c>
      <c r="F20" s="3">
        <f t="shared" si="8"/>
        <v>-1512.0833333333333</v>
      </c>
      <c r="G20" s="3">
        <f t="shared" si="8"/>
        <v>-1512.0833333333333</v>
      </c>
      <c r="H20" s="3">
        <f t="shared" si="8"/>
        <v>-1512.0833333333333</v>
      </c>
      <c r="I20" s="3">
        <f t="shared" si="8"/>
        <v>-1512.0833333333333</v>
      </c>
      <c r="J20" s="3">
        <f t="shared" si="8"/>
        <v>-1512.0833333333333</v>
      </c>
      <c r="K20" s="3">
        <f t="shared" si="8"/>
        <v>-1512.0833333333333</v>
      </c>
      <c r="L20" s="3">
        <f t="shared" si="8"/>
        <v>-1512.0833333333333</v>
      </c>
      <c r="M20" s="3">
        <f t="shared" si="8"/>
        <v>-1512.0833333333333</v>
      </c>
      <c r="N20" s="10">
        <f>SUM(B20:M20)</f>
        <v>-18145</v>
      </c>
    </row>
    <row r="21" spans="1:15" x14ac:dyDescent="0.25">
      <c r="A21" s="1" t="s">
        <v>9</v>
      </c>
      <c r="B21" s="3">
        <f>-B44</f>
        <v>-3894.65</v>
      </c>
      <c r="C21" s="3">
        <f t="shared" ref="C21:M21" si="9">-C44</f>
        <v>-2957.15</v>
      </c>
      <c r="D21" s="3">
        <f t="shared" si="9"/>
        <v>-2957.15</v>
      </c>
      <c r="E21" s="3">
        <f t="shared" si="9"/>
        <v>-3507.15</v>
      </c>
      <c r="F21" s="3">
        <f t="shared" si="9"/>
        <v>-2207.15</v>
      </c>
      <c r="G21" s="3">
        <f t="shared" si="9"/>
        <v>-2207.15</v>
      </c>
      <c r="H21" s="3">
        <f t="shared" si="9"/>
        <v>-2207.15</v>
      </c>
      <c r="I21" s="3">
        <f t="shared" si="9"/>
        <v>-2207.15</v>
      </c>
      <c r="J21" s="3">
        <f t="shared" si="9"/>
        <v>-2207.15</v>
      </c>
      <c r="K21" s="3">
        <f t="shared" si="9"/>
        <v>-2207.15</v>
      </c>
      <c r="L21" s="3">
        <f t="shared" si="9"/>
        <v>-2207.15</v>
      </c>
      <c r="M21" s="3">
        <f t="shared" si="9"/>
        <v>-2207.15</v>
      </c>
      <c r="N21" s="10">
        <f>SUM(B21:M21)</f>
        <v>-30973.30000000001</v>
      </c>
    </row>
    <row r="22" spans="1:15" x14ac:dyDescent="0.25">
      <c r="A22" s="1" t="s">
        <v>10</v>
      </c>
      <c r="B22" s="3">
        <v>-118</v>
      </c>
      <c r="C22" s="3">
        <v>-118</v>
      </c>
      <c r="D22" s="3">
        <v>-118</v>
      </c>
      <c r="E22" s="3">
        <v>-76</v>
      </c>
      <c r="F22" s="3">
        <v>-76</v>
      </c>
      <c r="G22" s="3">
        <v>-76</v>
      </c>
      <c r="H22" s="3">
        <v>-76</v>
      </c>
      <c r="I22" s="3">
        <v>-76</v>
      </c>
      <c r="J22" s="3">
        <v>-76</v>
      </c>
      <c r="K22" s="3">
        <v>-76</v>
      </c>
      <c r="L22" s="3">
        <v>-76</v>
      </c>
      <c r="M22" s="3">
        <v>-76</v>
      </c>
      <c r="N22" s="10">
        <f>SUM(B22:M22)</f>
        <v>-1038</v>
      </c>
    </row>
    <row r="23" spans="1:15" x14ac:dyDescent="0.25">
      <c r="A23" s="1" t="s">
        <v>11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10">
        <f t="shared" ref="N23:N33" si="10">SUM(B23:M23)</f>
        <v>0</v>
      </c>
    </row>
    <row r="24" spans="1:15" x14ac:dyDescent="0.25">
      <c r="A24" s="1" t="s">
        <v>12</v>
      </c>
      <c r="B24" s="3"/>
      <c r="C24" s="3"/>
      <c r="D24" s="3"/>
      <c r="E24" s="3">
        <v>-2013</v>
      </c>
      <c r="F24" s="3"/>
      <c r="G24" s="3"/>
      <c r="H24" s="3"/>
      <c r="I24" s="3"/>
      <c r="J24" s="3"/>
      <c r="K24" s="3"/>
      <c r="L24" s="3"/>
      <c r="M24" s="3"/>
      <c r="N24" s="10">
        <f t="shared" si="10"/>
        <v>-2013</v>
      </c>
    </row>
    <row r="25" spans="1:15" x14ac:dyDescent="0.25">
      <c r="A25" s="1" t="s">
        <v>13</v>
      </c>
      <c r="B25" s="3"/>
      <c r="C25" s="3"/>
      <c r="D25" s="3"/>
      <c r="E25" s="3">
        <v>-50</v>
      </c>
      <c r="F25" s="3"/>
      <c r="G25" s="3"/>
      <c r="H25" s="3"/>
      <c r="I25" s="3"/>
      <c r="J25" s="3"/>
      <c r="K25" s="3"/>
      <c r="L25" s="3"/>
      <c r="M25" s="3">
        <v>-250</v>
      </c>
      <c r="N25" s="10">
        <f t="shared" si="10"/>
        <v>-300</v>
      </c>
    </row>
    <row r="26" spans="1:15" x14ac:dyDescent="0.25">
      <c r="A26" s="1" t="s">
        <v>14</v>
      </c>
      <c r="B26" s="3">
        <f>-B59</f>
        <v>-139.35000000000002</v>
      </c>
      <c r="C26" s="3">
        <f t="shared" ref="C26:M26" si="11">-C59</f>
        <v>-125.36</v>
      </c>
      <c r="D26" s="3">
        <f t="shared" si="11"/>
        <v>-339.35999999999996</v>
      </c>
      <c r="E26" s="3">
        <f t="shared" si="11"/>
        <v>-819.35</v>
      </c>
      <c r="F26" s="3">
        <f t="shared" si="11"/>
        <v>-89.36</v>
      </c>
      <c r="G26" s="3">
        <f t="shared" si="11"/>
        <v>-89.36</v>
      </c>
      <c r="H26" s="3">
        <f t="shared" si="11"/>
        <v>-139.35000000000002</v>
      </c>
      <c r="I26" s="3">
        <f t="shared" si="11"/>
        <v>-89.36</v>
      </c>
      <c r="J26" s="3">
        <f t="shared" si="11"/>
        <v>-199.4</v>
      </c>
      <c r="K26" s="3">
        <f t="shared" si="11"/>
        <v>-889.35</v>
      </c>
      <c r="L26" s="3">
        <f t="shared" si="11"/>
        <v>-89.36</v>
      </c>
      <c r="M26" s="3">
        <f t="shared" si="11"/>
        <v>-91.04</v>
      </c>
      <c r="N26" s="10">
        <f t="shared" si="10"/>
        <v>-3100</v>
      </c>
    </row>
    <row r="27" spans="1:15" x14ac:dyDescent="0.25">
      <c r="A27" s="1" t="s">
        <v>15</v>
      </c>
      <c r="B27" s="3">
        <v>-166.66666666666666</v>
      </c>
      <c r="C27" s="3">
        <v>-166.66666666666666</v>
      </c>
      <c r="D27" s="3">
        <v>-166.66666666666666</v>
      </c>
      <c r="E27" s="3">
        <v>-166.66666666666666</v>
      </c>
      <c r="F27" s="3">
        <v>-166.66666666666666</v>
      </c>
      <c r="G27" s="3">
        <v>-166.66666666666666</v>
      </c>
      <c r="H27" s="3">
        <v>-166.66666666666666</v>
      </c>
      <c r="I27" s="3">
        <v>-166.66666666666666</v>
      </c>
      <c r="J27" s="3">
        <v>-166.66666666666666</v>
      </c>
      <c r="K27" s="3">
        <v>-166.66666666666666</v>
      </c>
      <c r="L27" s="3">
        <v>-166.66666666666666</v>
      </c>
      <c r="M27" s="3">
        <v>-166.66666666666666</v>
      </c>
      <c r="N27" s="10">
        <f t="shared" si="10"/>
        <v>-2000.0000000000002</v>
      </c>
    </row>
    <row r="28" spans="1:15" x14ac:dyDescent="0.25">
      <c r="A28" s="1" t="s">
        <v>16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10">
        <f t="shared" si="10"/>
        <v>0</v>
      </c>
    </row>
    <row r="29" spans="1:15" x14ac:dyDescent="0.25">
      <c r="A29" s="1" t="s">
        <v>17</v>
      </c>
      <c r="B29" s="3">
        <v>-330</v>
      </c>
      <c r="C29" s="3"/>
      <c r="D29" s="3">
        <f>-870-175</f>
        <v>-1045</v>
      </c>
      <c r="E29" s="3"/>
      <c r="F29" s="3"/>
      <c r="G29" s="3"/>
      <c r="H29" s="3"/>
      <c r="I29" s="3"/>
      <c r="J29" s="3"/>
      <c r="K29" s="3"/>
      <c r="L29" s="3"/>
      <c r="M29" s="3"/>
      <c r="N29" s="10">
        <f t="shared" si="10"/>
        <v>-1375</v>
      </c>
    </row>
    <row r="30" spans="1:15" x14ac:dyDescent="0.25">
      <c r="A30" s="1" t="s">
        <v>18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10">
        <f t="shared" si="10"/>
        <v>0</v>
      </c>
    </row>
    <row r="31" spans="1:15" x14ac:dyDescent="0.25">
      <c r="A31" s="1" t="s">
        <v>19</v>
      </c>
      <c r="B31" s="3">
        <f>-220/12</f>
        <v>-18.333333333333332</v>
      </c>
      <c r="C31" s="3">
        <f t="shared" ref="C31:M31" si="12">-220/12</f>
        <v>-18.333333333333332</v>
      </c>
      <c r="D31" s="3">
        <f t="shared" si="12"/>
        <v>-18.333333333333332</v>
      </c>
      <c r="E31" s="3">
        <f t="shared" si="12"/>
        <v>-18.333333333333332</v>
      </c>
      <c r="F31" s="3">
        <f t="shared" si="12"/>
        <v>-18.333333333333332</v>
      </c>
      <c r="G31" s="3">
        <f t="shared" si="12"/>
        <v>-18.333333333333332</v>
      </c>
      <c r="H31" s="3">
        <f t="shared" si="12"/>
        <v>-18.333333333333332</v>
      </c>
      <c r="I31" s="3">
        <f t="shared" si="12"/>
        <v>-18.333333333333332</v>
      </c>
      <c r="J31" s="3">
        <f t="shared" si="12"/>
        <v>-18.333333333333332</v>
      </c>
      <c r="K31" s="3">
        <f t="shared" si="12"/>
        <v>-18.333333333333332</v>
      </c>
      <c r="L31" s="3">
        <f t="shared" si="12"/>
        <v>-18.333333333333332</v>
      </c>
      <c r="M31" s="3">
        <f t="shared" si="12"/>
        <v>-18.333333333333332</v>
      </c>
      <c r="N31" s="10">
        <f t="shared" si="10"/>
        <v>-220.00000000000003</v>
      </c>
    </row>
    <row r="32" spans="1:15" x14ac:dyDescent="0.25">
      <c r="A32" s="1" t="s">
        <v>20</v>
      </c>
      <c r="B32" s="3">
        <f>-250/12</f>
        <v>-20.833333333333332</v>
      </c>
      <c r="C32" s="3">
        <f t="shared" ref="C32:M32" si="13">-250/12</f>
        <v>-20.833333333333332</v>
      </c>
      <c r="D32" s="3">
        <f t="shared" si="13"/>
        <v>-20.833333333333332</v>
      </c>
      <c r="E32" s="3">
        <f t="shared" si="13"/>
        <v>-20.833333333333332</v>
      </c>
      <c r="F32" s="3">
        <f t="shared" si="13"/>
        <v>-20.833333333333332</v>
      </c>
      <c r="G32" s="3">
        <f t="shared" si="13"/>
        <v>-20.833333333333332</v>
      </c>
      <c r="H32" s="3">
        <f t="shared" si="13"/>
        <v>-20.833333333333332</v>
      </c>
      <c r="I32" s="3">
        <f t="shared" si="13"/>
        <v>-20.833333333333332</v>
      </c>
      <c r="J32" s="3">
        <f t="shared" si="13"/>
        <v>-20.833333333333332</v>
      </c>
      <c r="K32" s="3">
        <f t="shared" si="13"/>
        <v>-20.833333333333332</v>
      </c>
      <c r="L32" s="3">
        <f t="shared" si="13"/>
        <v>-20.833333333333332</v>
      </c>
      <c r="M32" s="3">
        <f t="shared" si="13"/>
        <v>-20.833333333333332</v>
      </c>
      <c r="N32" s="10">
        <f t="shared" si="10"/>
        <v>-250.00000000000003</v>
      </c>
      <c r="O32" s="6"/>
    </row>
    <row r="33" spans="1:15" x14ac:dyDescent="0.25">
      <c r="A33" s="7" t="s">
        <v>38</v>
      </c>
      <c r="B33" s="3">
        <v>-2210</v>
      </c>
      <c r="N33" s="10">
        <f t="shared" si="10"/>
        <v>-2210</v>
      </c>
      <c r="O33" s="6"/>
    </row>
    <row r="34" spans="1:15" x14ac:dyDescent="0.25">
      <c r="A34" s="13" t="s">
        <v>34</v>
      </c>
      <c r="B34" s="6">
        <f>SUM(B8:B33)</f>
        <v>16403.583333333336</v>
      </c>
      <c r="C34" s="6">
        <f>SUM(C8:C33)</f>
        <v>12005.156666666668</v>
      </c>
      <c r="D34" s="6">
        <f>SUM(D8:D33)</f>
        <v>7647.7300000000014</v>
      </c>
      <c r="E34" s="6">
        <f>SUM(E8:E33)</f>
        <v>12956.813333333337</v>
      </c>
      <c r="F34" s="6">
        <f>SUM(F8:F33)</f>
        <v>8611.386666666669</v>
      </c>
      <c r="G34" s="6">
        <f>SUM(G8:G33)</f>
        <v>4265.9600000000028</v>
      </c>
      <c r="H34" s="6">
        <f>SUM(H8:H33)</f>
        <v>13618.043333333335</v>
      </c>
      <c r="I34" s="6">
        <f>SUM(I8:I33)</f>
        <v>9272.6166666666668</v>
      </c>
      <c r="J34" s="6">
        <f>SUM(J8:J33)</f>
        <v>4817.1500000000005</v>
      </c>
      <c r="K34" s="6">
        <f>SUM(K8:K33)</f>
        <v>13419.233333333335</v>
      </c>
      <c r="L34" s="6">
        <f>SUM(L8:L33)</f>
        <v>9073.8066666666673</v>
      </c>
      <c r="M34" s="6">
        <f>SUM(M8:M33)</f>
        <v>4476.7000000000007</v>
      </c>
      <c r="N34" s="11"/>
    </row>
    <row r="40" spans="1:15" hidden="1" outlineLevel="1" x14ac:dyDescent="0.25">
      <c r="A40" s="5" t="s">
        <v>51</v>
      </c>
    </row>
    <row r="41" spans="1:15" hidden="1" outlineLevel="1" x14ac:dyDescent="0.25">
      <c r="A41" t="s">
        <v>52</v>
      </c>
      <c r="B41" s="3">
        <f>1657.15+550</f>
        <v>2207.15</v>
      </c>
      <c r="C41" s="3">
        <f t="shared" ref="C41:D41" si="14">1657.15+550</f>
        <v>2207.15</v>
      </c>
      <c r="D41" s="3">
        <f t="shared" si="14"/>
        <v>2207.15</v>
      </c>
      <c r="E41" s="3">
        <f>1657.15</f>
        <v>1657.15</v>
      </c>
      <c r="F41" s="3">
        <f t="shared" ref="F41:M41" si="15">1657.15</f>
        <v>1657.15</v>
      </c>
      <c r="G41" s="3">
        <f t="shared" si="15"/>
        <v>1657.15</v>
      </c>
      <c r="H41" s="3">
        <f t="shared" si="15"/>
        <v>1657.15</v>
      </c>
      <c r="I41" s="3">
        <f t="shared" si="15"/>
        <v>1657.15</v>
      </c>
      <c r="J41" s="3">
        <f t="shared" si="15"/>
        <v>1657.15</v>
      </c>
      <c r="K41" s="3">
        <f t="shared" si="15"/>
        <v>1657.15</v>
      </c>
      <c r="L41" s="3">
        <f t="shared" si="15"/>
        <v>1657.15</v>
      </c>
      <c r="M41" s="3">
        <f t="shared" si="15"/>
        <v>1657.15</v>
      </c>
      <c r="N41" s="3">
        <f t="shared" ref="N41:N44" si="16">SUM(B41:M41)</f>
        <v>21535.800000000003</v>
      </c>
    </row>
    <row r="42" spans="1:15" hidden="1" outlineLevel="1" x14ac:dyDescent="0.25">
      <c r="A42" t="s">
        <v>53</v>
      </c>
      <c r="B42" s="3">
        <f>200+550</f>
        <v>750</v>
      </c>
      <c r="C42" s="3">
        <f t="shared" ref="C42:D42" si="17">200+550</f>
        <v>750</v>
      </c>
      <c r="D42" s="3">
        <f t="shared" si="17"/>
        <v>750</v>
      </c>
      <c r="E42" s="3">
        <f>550+1300</f>
        <v>1850</v>
      </c>
      <c r="F42" s="3">
        <f>550</f>
        <v>550</v>
      </c>
      <c r="G42" s="3">
        <f>550</f>
        <v>550</v>
      </c>
      <c r="H42" s="3">
        <f>550</f>
        <v>550</v>
      </c>
      <c r="I42" s="3">
        <f>550</f>
        <v>550</v>
      </c>
      <c r="J42" s="3">
        <f>550</f>
        <v>550</v>
      </c>
      <c r="K42" s="3">
        <f>550</f>
        <v>550</v>
      </c>
      <c r="L42" s="3">
        <f>550</f>
        <v>550</v>
      </c>
      <c r="M42" s="3">
        <f>550</f>
        <v>550</v>
      </c>
      <c r="N42" s="3">
        <f t="shared" si="16"/>
        <v>8500</v>
      </c>
    </row>
    <row r="43" spans="1:15" hidden="1" outlineLevel="1" x14ac:dyDescent="0.25">
      <c r="A43" t="s">
        <v>54</v>
      </c>
      <c r="B43" s="3">
        <f>3750/4</f>
        <v>937.5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>
        <f t="shared" si="16"/>
        <v>937.5</v>
      </c>
    </row>
    <row r="44" spans="1:15" hidden="1" outlineLevel="1" x14ac:dyDescent="0.25">
      <c r="A44" s="5" t="s">
        <v>55</v>
      </c>
      <c r="B44" s="6">
        <f>SUM(B41:B43)</f>
        <v>3894.65</v>
      </c>
      <c r="C44" s="6">
        <f t="shared" ref="C44:M44" si="18">SUM(C41:C43)</f>
        <v>2957.15</v>
      </c>
      <c r="D44" s="6">
        <f t="shared" si="18"/>
        <v>2957.15</v>
      </c>
      <c r="E44" s="6">
        <f t="shared" si="18"/>
        <v>3507.15</v>
      </c>
      <c r="F44" s="6">
        <f t="shared" si="18"/>
        <v>2207.15</v>
      </c>
      <c r="G44" s="6">
        <f t="shared" si="18"/>
        <v>2207.15</v>
      </c>
      <c r="H44" s="6">
        <f t="shared" si="18"/>
        <v>2207.15</v>
      </c>
      <c r="I44" s="6">
        <f t="shared" si="18"/>
        <v>2207.15</v>
      </c>
      <c r="J44" s="6">
        <f t="shared" si="18"/>
        <v>2207.15</v>
      </c>
      <c r="K44" s="6">
        <f t="shared" si="18"/>
        <v>2207.15</v>
      </c>
      <c r="L44" s="6">
        <f t="shared" si="18"/>
        <v>2207.15</v>
      </c>
      <c r="M44" s="6">
        <f t="shared" si="18"/>
        <v>2207.15</v>
      </c>
      <c r="N44" s="6">
        <f t="shared" si="16"/>
        <v>30973.30000000001</v>
      </c>
    </row>
    <row r="45" spans="1:15" hidden="1" outlineLevel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5" hidden="1" outlineLevel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5" hidden="1" outlineLevel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5" hidden="1" outlineLevel="1" x14ac:dyDescent="0.25">
      <c r="A48" s="5" t="s">
        <v>50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hidden="1" outlineLevel="1" x14ac:dyDescent="0.25">
      <c r="A49" t="s">
        <v>39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>
        <f>SUM(B49:M49)</f>
        <v>0</v>
      </c>
    </row>
    <row r="50" spans="1:14" hidden="1" outlineLevel="1" x14ac:dyDescent="0.25">
      <c r="A50" t="s">
        <v>40</v>
      </c>
      <c r="B50" s="3">
        <f>5+7+5</f>
        <v>17</v>
      </c>
      <c r="C50" s="3">
        <f>5+7+5</f>
        <v>17</v>
      </c>
      <c r="D50" s="3">
        <f t="shared" ref="D50:M50" si="19">5+7+5</f>
        <v>17</v>
      </c>
      <c r="E50" s="3">
        <f t="shared" si="19"/>
        <v>17</v>
      </c>
      <c r="F50" s="3">
        <f t="shared" si="19"/>
        <v>17</v>
      </c>
      <c r="G50" s="3">
        <f t="shared" si="19"/>
        <v>17</v>
      </c>
      <c r="H50" s="3">
        <f t="shared" si="19"/>
        <v>17</v>
      </c>
      <c r="I50" s="3">
        <f t="shared" si="19"/>
        <v>17</v>
      </c>
      <c r="J50" s="3">
        <f>5+7+5+60</f>
        <v>77</v>
      </c>
      <c r="K50" s="3">
        <f t="shared" si="19"/>
        <v>17</v>
      </c>
      <c r="L50" s="3">
        <f t="shared" si="19"/>
        <v>17</v>
      </c>
      <c r="M50" s="3">
        <f t="shared" si="19"/>
        <v>17</v>
      </c>
      <c r="N50" s="3">
        <f t="shared" ref="N50:N58" si="20">SUM(B50:M50)</f>
        <v>264</v>
      </c>
    </row>
    <row r="51" spans="1:14" hidden="1" outlineLevel="1" x14ac:dyDescent="0.25">
      <c r="A51" t="s">
        <v>41</v>
      </c>
      <c r="B51" s="3">
        <v>49.99</v>
      </c>
      <c r="C51" s="3"/>
      <c r="D51" s="3"/>
      <c r="E51" s="3">
        <v>49.99</v>
      </c>
      <c r="F51" s="3"/>
      <c r="G51" s="3"/>
      <c r="H51" s="3">
        <v>49.99</v>
      </c>
      <c r="I51" s="3"/>
      <c r="J51" s="3">
        <v>50.04</v>
      </c>
      <c r="K51" s="3">
        <v>49.99</v>
      </c>
      <c r="L51" s="3"/>
      <c r="M51" s="3"/>
      <c r="N51" s="3">
        <f t="shared" si="20"/>
        <v>250</v>
      </c>
    </row>
    <row r="52" spans="1:14" hidden="1" outlineLevel="1" x14ac:dyDescent="0.25">
      <c r="A52" t="s">
        <v>42</v>
      </c>
      <c r="B52" s="3"/>
      <c r="C52" s="3"/>
      <c r="D52" s="3"/>
      <c r="E52" s="3">
        <v>200</v>
      </c>
      <c r="F52" s="3"/>
      <c r="G52" s="3"/>
      <c r="H52" s="3"/>
      <c r="I52" s="3"/>
      <c r="J52" s="3"/>
      <c r="K52" s="3"/>
      <c r="L52" s="3"/>
      <c r="M52" s="3"/>
      <c r="N52" s="3">
        <f t="shared" si="20"/>
        <v>200</v>
      </c>
    </row>
    <row r="53" spans="1:14" hidden="1" outlineLevel="1" x14ac:dyDescent="0.25">
      <c r="A53" t="s">
        <v>43</v>
      </c>
      <c r="B53" s="3">
        <f>180/12</f>
        <v>15</v>
      </c>
      <c r="C53" s="3">
        <f t="shared" ref="C53:M53" si="21">180/12</f>
        <v>15</v>
      </c>
      <c r="D53" s="3">
        <f t="shared" si="21"/>
        <v>15</v>
      </c>
      <c r="E53" s="3">
        <f t="shared" si="21"/>
        <v>15</v>
      </c>
      <c r="F53" s="3">
        <f t="shared" si="21"/>
        <v>15</v>
      </c>
      <c r="G53" s="3">
        <f t="shared" si="21"/>
        <v>15</v>
      </c>
      <c r="H53" s="3">
        <f t="shared" si="21"/>
        <v>15</v>
      </c>
      <c r="I53" s="3">
        <f t="shared" si="21"/>
        <v>15</v>
      </c>
      <c r="J53" s="3">
        <f t="shared" si="21"/>
        <v>15</v>
      </c>
      <c r="K53" s="3">
        <f t="shared" si="21"/>
        <v>15</v>
      </c>
      <c r="L53" s="3">
        <f t="shared" si="21"/>
        <v>15</v>
      </c>
      <c r="M53" s="3">
        <f t="shared" si="21"/>
        <v>15</v>
      </c>
      <c r="N53" s="3">
        <f t="shared" si="20"/>
        <v>180</v>
      </c>
    </row>
    <row r="54" spans="1:14" hidden="1" outlineLevel="1" x14ac:dyDescent="0.25">
      <c r="A54" t="s">
        <v>45</v>
      </c>
      <c r="B54" s="3">
        <v>41.53</v>
      </c>
      <c r="C54" s="3">
        <f>41.53+36</f>
        <v>77.53</v>
      </c>
      <c r="D54" s="3">
        <f>41.53+250</f>
        <v>291.52999999999997</v>
      </c>
      <c r="E54" s="3">
        <v>41.53</v>
      </c>
      <c r="F54" s="3">
        <v>41.53</v>
      </c>
      <c r="G54" s="3">
        <v>41.53</v>
      </c>
      <c r="H54" s="3">
        <f>41.53</f>
        <v>41.53</v>
      </c>
      <c r="I54" s="3">
        <v>41.53</v>
      </c>
      <c r="J54" s="3">
        <v>41.53</v>
      </c>
      <c r="K54" s="3">
        <f>41.53</f>
        <v>41.53</v>
      </c>
      <c r="L54" s="3">
        <v>41.53</v>
      </c>
      <c r="M54" s="3">
        <f>41.53+1.64</f>
        <v>43.17</v>
      </c>
      <c r="N54" s="3">
        <f t="shared" si="20"/>
        <v>785.99999999999977</v>
      </c>
    </row>
    <row r="55" spans="1:14" hidden="1" outlineLevel="1" x14ac:dyDescent="0.25">
      <c r="A55" t="s">
        <v>44</v>
      </c>
      <c r="B55" s="3"/>
      <c r="C55" s="3"/>
      <c r="D55" s="3"/>
      <c r="E55" s="3">
        <f>300+180</f>
        <v>480</v>
      </c>
      <c r="F55" s="3"/>
      <c r="G55" s="3"/>
      <c r="H55" s="3"/>
      <c r="I55" s="3"/>
      <c r="J55" s="3"/>
      <c r="K55" s="3"/>
      <c r="L55" s="3"/>
      <c r="M55" s="3"/>
      <c r="N55" s="3">
        <f t="shared" si="20"/>
        <v>480</v>
      </c>
    </row>
    <row r="56" spans="1:14" hidden="1" outlineLevel="1" x14ac:dyDescent="0.25">
      <c r="A56" t="s">
        <v>46</v>
      </c>
      <c r="B56" s="3">
        <f>120/12</f>
        <v>10</v>
      </c>
      <c r="C56" s="3">
        <f t="shared" ref="C56:M56" si="22">120/12</f>
        <v>10</v>
      </c>
      <c r="D56" s="3">
        <f t="shared" si="22"/>
        <v>10</v>
      </c>
      <c r="E56" s="3">
        <f t="shared" si="22"/>
        <v>10</v>
      </c>
      <c r="F56" s="3">
        <f t="shared" si="22"/>
        <v>10</v>
      </c>
      <c r="G56" s="3">
        <f t="shared" si="22"/>
        <v>10</v>
      </c>
      <c r="H56" s="3">
        <f t="shared" si="22"/>
        <v>10</v>
      </c>
      <c r="I56" s="3">
        <f t="shared" si="22"/>
        <v>10</v>
      </c>
      <c r="J56" s="3">
        <f t="shared" si="22"/>
        <v>10</v>
      </c>
      <c r="K56" s="3">
        <f t="shared" si="22"/>
        <v>10</v>
      </c>
      <c r="L56" s="3">
        <f t="shared" si="22"/>
        <v>10</v>
      </c>
      <c r="M56" s="3">
        <f t="shared" si="22"/>
        <v>10</v>
      </c>
      <c r="N56" s="3">
        <f t="shared" si="20"/>
        <v>120</v>
      </c>
    </row>
    <row r="57" spans="1:14" hidden="1" outlineLevel="1" x14ac:dyDescent="0.25">
      <c r="A57" t="s">
        <v>47</v>
      </c>
      <c r="B57" s="3">
        <f>ROUND(70/12,2)</f>
        <v>5.83</v>
      </c>
      <c r="C57" s="3">
        <f t="shared" ref="C57:L57" si="23">ROUND(70/12,2)</f>
        <v>5.83</v>
      </c>
      <c r="D57" s="3">
        <f t="shared" si="23"/>
        <v>5.83</v>
      </c>
      <c r="E57" s="3">
        <f t="shared" si="23"/>
        <v>5.83</v>
      </c>
      <c r="F57" s="3">
        <f t="shared" si="23"/>
        <v>5.83</v>
      </c>
      <c r="G57" s="3">
        <f t="shared" si="23"/>
        <v>5.83</v>
      </c>
      <c r="H57" s="3">
        <f t="shared" si="23"/>
        <v>5.83</v>
      </c>
      <c r="I57" s="3">
        <f t="shared" si="23"/>
        <v>5.83</v>
      </c>
      <c r="J57" s="3">
        <f t="shared" si="23"/>
        <v>5.83</v>
      </c>
      <c r="K57" s="3">
        <f t="shared" si="23"/>
        <v>5.83</v>
      </c>
      <c r="L57" s="3">
        <f t="shared" si="23"/>
        <v>5.83</v>
      </c>
      <c r="M57" s="3">
        <f>ROUND(70/12,2)+0.04</f>
        <v>5.87</v>
      </c>
      <c r="N57" s="3">
        <f t="shared" si="20"/>
        <v>70</v>
      </c>
    </row>
    <row r="58" spans="1:14" hidden="1" outlineLevel="1" x14ac:dyDescent="0.25">
      <c r="A58" t="s">
        <v>48</v>
      </c>
      <c r="B58" s="3"/>
      <c r="C58" s="3"/>
      <c r="D58" s="3"/>
      <c r="E58" s="3"/>
      <c r="F58" s="3"/>
      <c r="G58" s="3"/>
      <c r="H58" s="3"/>
      <c r="I58" s="3"/>
      <c r="J58" s="3"/>
      <c r="K58" s="3">
        <v>750</v>
      </c>
      <c r="L58" s="3"/>
      <c r="M58" s="3"/>
      <c r="N58" s="3">
        <f t="shared" si="20"/>
        <v>750</v>
      </c>
    </row>
    <row r="59" spans="1:14" hidden="1" outlineLevel="1" x14ac:dyDescent="0.25">
      <c r="A59" s="5" t="s">
        <v>49</v>
      </c>
      <c r="B59" s="6">
        <f>SUM(B49:B58)</f>
        <v>139.35000000000002</v>
      </c>
      <c r="C59" s="6">
        <f t="shared" ref="C59:N59" si="24">SUM(C49:C58)</f>
        <v>125.36</v>
      </c>
      <c r="D59" s="6">
        <f t="shared" si="24"/>
        <v>339.35999999999996</v>
      </c>
      <c r="E59" s="6">
        <f t="shared" si="24"/>
        <v>819.35</v>
      </c>
      <c r="F59" s="6">
        <f t="shared" si="24"/>
        <v>89.36</v>
      </c>
      <c r="G59" s="6">
        <f t="shared" si="24"/>
        <v>89.36</v>
      </c>
      <c r="H59" s="6">
        <f t="shared" si="24"/>
        <v>139.35000000000002</v>
      </c>
      <c r="I59" s="6">
        <f t="shared" si="24"/>
        <v>89.36</v>
      </c>
      <c r="J59" s="6">
        <f t="shared" si="24"/>
        <v>199.4</v>
      </c>
      <c r="K59" s="6">
        <f t="shared" si="24"/>
        <v>889.35</v>
      </c>
      <c r="L59" s="6">
        <f t="shared" si="24"/>
        <v>89.36</v>
      </c>
      <c r="M59" s="6">
        <f t="shared" si="24"/>
        <v>91.04</v>
      </c>
      <c r="N59" s="6">
        <f t="shared" si="24"/>
        <v>3100</v>
      </c>
    </row>
    <row r="60" spans="1:14" collapsed="1" x14ac:dyDescent="0.25"/>
  </sheetData>
  <conditionalFormatting sqref="B34:M34">
    <cfRule type="cellIs" dxfId="0" priority="1" operator="lessThan">
      <formula>1000</formula>
    </cfRule>
  </conditionalFormatting>
  <pageMargins left="0.70866141732283472" right="0.70866141732283472" top="0.78740157480314965" bottom="0.78740157480314965" header="0.31496062992125984" footer="0.31496062992125984"/>
  <pageSetup paperSize="9" scale="67" fitToHeight="0" orientation="landscape" horizontalDpi="1200" verticalDpi="1200" r:id="rId1"/>
  <headerFooter>
    <oddFooter>&amp;L&amp;F&amp;R&amp;D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Ruediger Kemmler</dc:creator>
  <cp:lastModifiedBy>Ruediger Kemmler</cp:lastModifiedBy>
  <cp:lastPrinted>2022-12-01T22:34:04Z</cp:lastPrinted>
  <dcterms:created xsi:type="dcterms:W3CDTF">2022-11-27T22:20:04Z</dcterms:created>
  <dcterms:modified xsi:type="dcterms:W3CDTF">2022-12-01T22:34:16Z</dcterms:modified>
</cp:coreProperties>
</file>